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2 21 417р Конкурс ТСЖ + Водсервис + Партнер\Лот 5 Авиациаонная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J38" i="3" l="1"/>
  <c r="I39" i="3" l="1"/>
  <c r="H39" i="3"/>
  <c r="I38" i="3"/>
  <c r="H38" i="3"/>
  <c r="G28" i="3" l="1"/>
  <c r="G33" i="3"/>
  <c r="G37" i="3"/>
  <c r="G35" i="3"/>
  <c r="G32" i="3"/>
  <c r="G30" i="3"/>
  <c r="G29" i="3"/>
  <c r="G27" i="3"/>
  <c r="G26" i="3"/>
  <c r="G25" i="3"/>
  <c r="G22" i="3"/>
  <c r="G21" i="3"/>
  <c r="G20" i="3"/>
  <c r="G19" i="3"/>
  <c r="G18" i="3"/>
  <c r="G17" i="3"/>
  <c r="G16" i="3"/>
  <c r="F40" i="3"/>
  <c r="F28" i="3"/>
  <c r="F24" i="3"/>
  <c r="F15" i="3"/>
  <c r="G38" i="3" l="1"/>
  <c r="G40" i="3" s="1"/>
  <c r="G24" i="3"/>
  <c r="G15" i="3"/>
  <c r="C36" i="3" l="1"/>
  <c r="C33" i="3"/>
  <c r="C32" i="3"/>
  <c r="C31" i="3"/>
  <c r="C30" i="3"/>
  <c r="C29" i="3"/>
  <c r="C28" i="3" s="1"/>
  <c r="C27" i="3"/>
  <c r="C26" i="3"/>
  <c r="C25" i="3"/>
  <c r="C24" i="3"/>
  <c r="C22" i="3"/>
  <c r="C21" i="3"/>
  <c r="C20" i="3"/>
  <c r="C19" i="3"/>
  <c r="C18" i="3"/>
  <c r="C17" i="3"/>
  <c r="C16" i="3"/>
  <c r="C15" i="3"/>
  <c r="C13" i="3"/>
  <c r="C12" i="3"/>
  <c r="C11" i="3"/>
  <c r="C10" i="3"/>
  <c r="C9" i="3" l="1"/>
  <c r="C14" i="3"/>
  <c r="C23" i="3"/>
  <c r="C37" i="3"/>
  <c r="C38" i="3" l="1"/>
  <c r="C40" i="3"/>
</calcChain>
</file>

<file path=xl/sharedStrings.xml><?xml version="1.0" encoding="utf-8"?>
<sst xmlns="http://schemas.openxmlformats.org/spreadsheetml/2006/main" count="123" uniqueCount="95">
  <si>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</si>
  <si>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</si>
  <si>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</si>
  <si>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</si>
  <si>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</si>
  <si>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</si>
  <si>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</si>
  <si>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</si>
  <si>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</si>
  <si>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</si>
  <si>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</si>
  <si>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</si>
  <si>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</si>
  <si>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</si>
  <si>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</si>
  <si>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</si>
  <si>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</si>
  <si>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2 раз(а) в месяц</t>
  </si>
  <si>
    <t>постоянно</t>
  </si>
  <si>
    <t>2 раз(а) в год</t>
  </si>
  <si>
    <t>VI. ВДГО</t>
  </si>
  <si>
    <t>1. Подметание  полов во всех помещениях общего пользования</t>
  </si>
  <si>
    <t>1 раз(а) в неделю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</si>
  <si>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</si>
  <si>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</si>
  <si>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</si>
  <si>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</si>
  <si>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</si>
  <si>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</si>
  <si>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</si>
  <si>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</si>
  <si>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</si>
  <si>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</si>
  <si>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</si>
  <si>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</si>
  <si>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</si>
  <si>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</si>
  <si>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</si>
  <si>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</si>
  <si>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</si>
  <si>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</si>
  <si>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</si>
  <si>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</si>
  <si>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системе канализации, ремонт трубопровода, осмотр и проверка изоляции электропроводки, замена выключателей, ламп.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</si>
  <si>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</si>
  <si>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</si>
  <si>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</si>
  <si>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</si>
  <si>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</si>
  <si>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 xml:space="preserve">22. Обслуживание общедомовых приборов </t>
  </si>
  <si>
    <t>ежемесячно</t>
  </si>
  <si>
    <t>VII.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</si>
  <si>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</si>
  <si>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VI. Проведение технической инвентаризации</t>
  </si>
  <si>
    <t>Проведение технической инвентаризации,                           25 000 руб.                                         В тарифе распределяется на площадь жилых помещений в МКД</t>
  </si>
  <si>
    <t>VIII. Расходы на ОДН</t>
  </si>
  <si>
    <t>Авиационная ул.</t>
  </si>
  <si>
    <t>Лот № 5 Октябрьский территориальный округ</t>
  </si>
  <si>
    <t>1. Сухая и влажная  уборка полов во всех помещениях общего пользования</t>
  </si>
  <si>
    <t>1 раз(а) в месяц</t>
  </si>
  <si>
    <t>2.Мытье перил, дверей, плафонов, окон, рам, подоконников, почтовых ящиков в помещениях общего пользования</t>
  </si>
  <si>
    <t>3. Очистка и влажная уборка мусорных камер</t>
  </si>
  <si>
    <t>раз(а) в неделю</t>
  </si>
  <si>
    <t>4. Мытье и протирка закрывающих устройств мусоропровода</t>
  </si>
  <si>
    <t>раз(а) в месяц</t>
  </si>
  <si>
    <t xml:space="preserve">5. Уборка мусора с придомовой территории </t>
  </si>
  <si>
    <t>1 раз(а) в 2 недели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</si>
  <si>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</si>
  <si>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</si>
  <si>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2 раз(а) в неделю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</si>
  <si>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</si>
  <si>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</si>
  <si>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</si>
  <si>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</si>
  <si>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</si>
  <si>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</si>
  <si>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</si>
  <si>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(указать период устранения неисправности)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</si>
  <si>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</si>
  <si>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</si>
  <si>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</si>
  <si>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</si>
  <si>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</si>
  <si>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</si>
  <si>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по мере необходимости в течение года</t>
  </si>
  <si>
    <t>19. Дератизация</t>
  </si>
  <si>
    <t>20. Дезинсекция</t>
  </si>
  <si>
    <t>1 раз в год</t>
  </si>
  <si>
    <t>V. Расходы по управлению МКД</t>
  </si>
  <si>
    <t>VII. ОДН</t>
  </si>
  <si>
    <t xml:space="preserve">Стоимость на 1 кв. м. общей площади (руб./мес.)         (размер платы в месяц на 1 кв. м.)  </t>
  </si>
  <si>
    <t xml:space="preserve">Перечень обязательных работ, услуг,                                                        2-5 этажные кирпичные  жилые дома </t>
  </si>
  <si>
    <t xml:space="preserve">Перечень обязательных работ, услуг, </t>
  </si>
  <si>
    <t>МВК деревянный не благоустроенный без канализации,                   без ХВС (колонка) с  центр отоплением</t>
  </si>
  <si>
    <t xml:space="preserve">           Проведение технической инвентаризации,                                               2 500 руб. В тарифе распределяется на площадь жилых помещений в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</si>
</sst>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 tint="-4.9989318521683403E-2"/>
      <name val="Times New Roman"/>
      <family val="1"/>
    </font>
    <font>
      <b/>
      <sz val="9"/>
      <color theme="0" tint="-4.9989318521683403E-2"/>
      <name val="Times New Roman"/>
      <family val="1"/>
    </font>
    <font>
      <b/>
      <sz val="10"/>
      <color theme="0" tint="-4.9989318521683403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0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/>
    <xf numFmtId="4" fontId="14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6" fillId="0" borderId="0" xfId="0" applyFont="1" applyAlignment="1"/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1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" fontId="14" fillId="3" borderId="1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wrapText="1"/>
    </xf>
    <xf numFmtId="4" fontId="4" fillId="3" borderId="3" xfId="0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/>
    </xf>
    <xf numFmtId="0" fontId="2" fillId="3" borderId="3" xfId="0" applyFont="1" applyFill="1" applyBorder="1" applyAlignment="1"/>
    <xf numFmtId="4" fontId="8" fillId="3" borderId="3" xfId="0" applyNumberFormat="1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0" fontId="15" fillId="3" borderId="3" xfId="0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4" fontId="16" fillId="0" borderId="0" xfId="0" applyNumberFormat="1" applyFont="1" applyAlignment="1"/>
    <xf numFmtId="4" fontId="2" fillId="0" borderId="0" xfId="0" applyNumberFormat="1" applyFont="1" applyAlignment="1">
      <alignment vertical="center"/>
    </xf>
    <xf numFmtId="4" fontId="0" fillId="0" borderId="0" xfId="0" applyNumberFormat="1"/>
    <xf numFmtId="4" fontId="16" fillId="0" borderId="0" xfId="0" applyNumberFormat="1" applyFont="1" applyAlignment="1">
      <alignment horizontal="center" vertical="center"/>
    </xf>
    <xf numFmtId="49" fontId="13" fillId="2" borderId="4" xfId="2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4" fontId="17" fillId="0" borderId="4" xfId="0" applyNumberFormat="1" applyFont="1" applyBorder="1" applyAlignment="1">
      <alignment horizontal="center"/>
    </xf>
    <xf numFmtId="4" fontId="11" fillId="0" borderId="4" xfId="0" applyNumberFormat="1" applyFont="1" applyFill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17" fillId="2" borderId="4" xfId="0" applyNumberFormat="1" applyFont="1" applyFill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left" vertical="top"/>
    </xf>
    <xf numFmtId="4" fontId="8" fillId="3" borderId="5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8" fillId="3" borderId="5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/>
    <xf numFmtId="4" fontId="11" fillId="2" borderId="0" xfId="0" applyNumberFormat="1" applyFont="1" applyFill="1" applyAlignment="1"/>
    <xf numFmtId="4" fontId="8" fillId="3" borderId="3" xfId="0" applyNumberFormat="1" applyFont="1" applyFill="1" applyBorder="1" applyAlignment="1">
      <alignment horizontal="center" vertical="center" wrapText="1"/>
    </xf>
    <xf numFmtId="49" fontId="18" fillId="3" borderId="6" xfId="2" applyNumberFormat="1" applyFont="1" applyFill="1" applyBorder="1" applyAlignment="1">
      <alignment horizontal="center" vertical="center" wrapText="1"/>
    </xf>
    <xf numFmtId="49" fontId="18" fillId="3" borderId="7" xfId="2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4" fontId="19" fillId="0" borderId="0" xfId="0" applyNumberFormat="1" applyFont="1" applyAlignment="1"/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horizontal="center"/>
    </xf>
    <xf numFmtId="4" fontId="19" fillId="0" borderId="0" xfId="0" applyNumberFormat="1" applyFont="1" applyBorder="1" applyAlignment="1"/>
    <xf numFmtId="0" fontId="19" fillId="0" borderId="0" xfId="0" applyFont="1" applyBorder="1" applyAlignment="1"/>
    <xf numFmtId="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4" fontId="19" fillId="2" borderId="0" xfId="0" applyNumberFormat="1" applyFont="1" applyFill="1" applyAlignment="1">
      <alignment horizontal="right"/>
    </xf>
    <xf numFmtId="0" fontId="21" fillId="2" borderId="0" xfId="0" applyFont="1" applyFill="1" applyAlignment="1"/>
    <xf numFmtId="4" fontId="21" fillId="2" borderId="0" xfId="0" applyNumberFormat="1" applyFont="1" applyFill="1" applyAlignment="1"/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"/>
  <sheetViews>
    <sheetView tabSelected="1" view="pageBreakPreview" topLeftCell="A31" zoomScale="86" zoomScaleNormal="100" zoomScaleSheetLayoutView="86" workbookViewId="0">
      <selection activeCell="H36" sqref="H36:N43"/>
    </sheetView>
  </sheetViews>
  <sheetFormatPr defaultRowHeight="12.75" x14ac:dyDescent="0.2"/>
  <cols>
    <col min="1" max="1" width="55.5703125" style="6" customWidth="1"/>
    <col min="2" max="2" width="26.140625" style="13" customWidth="1"/>
    <col min="3" max="3" width="20.42578125" style="13" customWidth="1"/>
    <col min="4" max="4" width="39.140625" style="7" customWidth="1"/>
    <col min="5" max="5" width="19.42578125" style="7" customWidth="1"/>
    <col min="6" max="6" width="14.7109375" style="77" customWidth="1"/>
    <col min="7" max="7" width="20.42578125" style="21" customWidth="1"/>
    <col min="8" max="8" width="25.42578125" style="13" customWidth="1"/>
    <col min="9" max="9" width="23.5703125" style="85" customWidth="1"/>
    <col min="10" max="10" width="9.28515625" style="7" customWidth="1"/>
    <col min="11" max="11" width="10" style="7" customWidth="1"/>
    <col min="12" max="12" width="13.42578125" style="7" customWidth="1"/>
    <col min="13" max="13" width="13" style="7" customWidth="1"/>
    <col min="14" max="15" width="16" style="7" customWidth="1"/>
    <col min="16" max="16" width="48.5703125" style="13" customWidth="1"/>
    <col min="17" max="17" width="26.85546875" style="13" customWidth="1"/>
    <col min="18" max="18" width="17.28515625" style="13" customWidth="1"/>
    <col min="19" max="26" width="9.28515625" style="7" customWidth="1"/>
    <col min="27" max="27" width="74.7109375" style="7" customWidth="1"/>
    <col min="28" max="28" width="24.5703125" style="7" customWidth="1"/>
    <col min="29" max="29" width="25.140625" style="7" customWidth="1"/>
    <col min="30" max="47" width="9.28515625" style="7" customWidth="1"/>
    <col min="48" max="48" width="12.7109375" style="7" customWidth="1"/>
    <col min="49" max="49" width="9.28515625" style="7" customWidth="1"/>
    <col min="50" max="50" width="50" style="7" customWidth="1"/>
    <col min="51" max="51" width="14.7109375" style="7" customWidth="1"/>
    <col min="52" max="54" width="14.5703125" style="7" customWidth="1"/>
    <col min="55" max="55" width="11.5703125" bestFit="1" customWidth="1"/>
    <col min="56" max="56" width="11.5703125" style="47" bestFit="1" customWidth="1"/>
  </cols>
  <sheetData>
    <row r="1" spans="1:56" s="1" customFormat="1" ht="16.5" customHeight="1" x14ac:dyDescent="0.25">
      <c r="A1" s="17" t="s">
        <v>16</v>
      </c>
      <c r="B1" s="17"/>
      <c r="C1" s="17"/>
      <c r="D1" s="3"/>
      <c r="E1" s="3"/>
      <c r="F1" s="75"/>
      <c r="G1" s="20"/>
      <c r="H1" s="17"/>
      <c r="I1" s="84"/>
      <c r="J1" s="3"/>
      <c r="K1" s="3"/>
      <c r="L1" s="3"/>
      <c r="M1" s="3"/>
      <c r="N1" s="3"/>
      <c r="O1" s="3"/>
      <c r="P1" s="16"/>
      <c r="Q1" s="16"/>
      <c r="R1" s="1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D1" s="42"/>
    </row>
    <row r="2" spans="1:56" s="1" customFormat="1" ht="16.5" customHeight="1" x14ac:dyDescent="0.25">
      <c r="A2" s="17" t="s">
        <v>15</v>
      </c>
      <c r="B2" s="17"/>
      <c r="C2" s="17"/>
      <c r="D2" s="4"/>
      <c r="E2" s="4"/>
      <c r="F2" s="76"/>
      <c r="G2" s="20"/>
      <c r="H2" s="17"/>
      <c r="I2" s="84"/>
      <c r="J2" s="4"/>
      <c r="K2" s="4"/>
      <c r="L2" s="4"/>
      <c r="M2" s="4"/>
      <c r="N2" s="4"/>
      <c r="O2" s="4"/>
      <c r="P2" s="16"/>
      <c r="Q2" s="16"/>
      <c r="R2" s="16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D2" s="42"/>
    </row>
    <row r="3" spans="1:56" s="1" customFormat="1" ht="16.5" customHeight="1" x14ac:dyDescent="0.25">
      <c r="A3" s="17" t="s">
        <v>14</v>
      </c>
      <c r="B3" s="17"/>
      <c r="C3" s="17"/>
      <c r="D3" s="4"/>
      <c r="E3" s="4"/>
      <c r="F3" s="76"/>
      <c r="G3" s="20"/>
      <c r="H3" s="17"/>
      <c r="I3" s="84"/>
      <c r="J3" s="4"/>
      <c r="K3" s="4"/>
      <c r="L3" s="4"/>
      <c r="M3" s="4"/>
      <c r="N3" s="4"/>
      <c r="O3" s="4"/>
      <c r="P3" s="16"/>
      <c r="Q3" s="16"/>
      <c r="R3" s="16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D3" s="42"/>
    </row>
    <row r="4" spans="1:56" s="1" customFormat="1" ht="16.5" customHeight="1" x14ac:dyDescent="0.2">
      <c r="A4" s="17" t="s">
        <v>13</v>
      </c>
      <c r="B4" s="17"/>
      <c r="C4" s="17"/>
      <c r="D4" s="7"/>
      <c r="E4" s="7"/>
      <c r="F4" s="77"/>
      <c r="G4" s="20"/>
      <c r="H4" s="17"/>
      <c r="I4" s="84"/>
      <c r="J4" s="7"/>
      <c r="K4" s="7"/>
      <c r="L4" s="7"/>
      <c r="M4" s="7"/>
      <c r="N4" s="7"/>
      <c r="O4" s="7"/>
      <c r="P4" s="16"/>
      <c r="Q4" s="16"/>
      <c r="R4" s="16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D4" s="42"/>
    </row>
    <row r="5" spans="1:56" s="1" customFormat="1" x14ac:dyDescent="0.2">
      <c r="A5" s="5" t="s">
        <v>57</v>
      </c>
      <c r="B5" s="13"/>
      <c r="C5" s="13"/>
      <c r="D5" s="7"/>
      <c r="E5" s="7"/>
      <c r="F5" s="77"/>
      <c r="G5" s="21"/>
      <c r="H5" s="13"/>
      <c r="I5" s="85"/>
      <c r="J5" s="7"/>
      <c r="K5" s="7"/>
      <c r="L5" s="7"/>
      <c r="M5" s="7"/>
      <c r="N5" s="7"/>
      <c r="O5" s="7"/>
      <c r="P5" s="13"/>
      <c r="Q5" s="13"/>
      <c r="R5" s="13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D5" s="42"/>
    </row>
    <row r="6" spans="1:56" s="1" customFormat="1" ht="15.75" customHeight="1" x14ac:dyDescent="0.2">
      <c r="A6" s="15"/>
      <c r="B6" s="15"/>
      <c r="C6" s="15"/>
      <c r="D6" s="11"/>
      <c r="E6" s="15"/>
      <c r="F6" s="15"/>
      <c r="G6" s="15"/>
      <c r="I6" s="42"/>
    </row>
    <row r="7" spans="1:56" s="8" customFormat="1" ht="71.25" customHeight="1" x14ac:dyDescent="0.2">
      <c r="A7" s="86" t="s">
        <v>91</v>
      </c>
      <c r="B7" s="86" t="s">
        <v>12</v>
      </c>
      <c r="C7" s="49" t="s">
        <v>56</v>
      </c>
      <c r="D7" s="86" t="s">
        <v>92</v>
      </c>
      <c r="E7" s="86" t="s">
        <v>12</v>
      </c>
      <c r="F7" s="87" t="s">
        <v>93</v>
      </c>
      <c r="G7" s="49" t="s">
        <v>56</v>
      </c>
      <c r="I7" s="44"/>
    </row>
    <row r="8" spans="1:56" s="8" customFormat="1" ht="22.5" customHeight="1" x14ac:dyDescent="0.2">
      <c r="A8" s="86"/>
      <c r="B8" s="86"/>
      <c r="C8" s="50">
        <v>36</v>
      </c>
      <c r="D8" s="86"/>
      <c r="E8" s="86"/>
      <c r="F8" s="88"/>
      <c r="G8" s="73">
        <v>68</v>
      </c>
      <c r="I8" s="44"/>
    </row>
    <row r="9" spans="1:56" s="1" customFormat="1" ht="12.75" customHeight="1" x14ac:dyDescent="0.2">
      <c r="A9" s="26" t="s">
        <v>11</v>
      </c>
      <c r="B9" s="27"/>
      <c r="C9" s="51">
        <f>SUM(C10:C13)</f>
        <v>46881.78</v>
      </c>
      <c r="D9" s="60" t="s">
        <v>11</v>
      </c>
      <c r="E9" s="61"/>
      <c r="F9" s="71"/>
      <c r="G9" s="59"/>
      <c r="I9" s="42"/>
    </row>
    <row r="10" spans="1:56" s="1" customFormat="1" ht="12.75" customHeight="1" x14ac:dyDescent="0.2">
      <c r="A10" s="28" t="s">
        <v>21</v>
      </c>
      <c r="B10" s="29" t="s">
        <v>22</v>
      </c>
      <c r="C10" s="56">
        <f>1.14*12*C39</f>
        <v>21292.92</v>
      </c>
      <c r="D10" s="62" t="s">
        <v>58</v>
      </c>
      <c r="E10" s="22" t="s">
        <v>59</v>
      </c>
      <c r="F10" s="78">
        <v>0</v>
      </c>
      <c r="G10" s="79">
        <v>0</v>
      </c>
      <c r="I10" s="42"/>
    </row>
    <row r="11" spans="1:56" s="1" customFormat="1" ht="27.75" customHeight="1" x14ac:dyDescent="0.2">
      <c r="A11" s="28" t="s">
        <v>23</v>
      </c>
      <c r="B11" s="29" t="s">
        <v>17</v>
      </c>
      <c r="C11" s="56">
        <f>1.34*12*C39</f>
        <v>25028.520000000004</v>
      </c>
      <c r="D11" s="63" t="s">
        <v>60</v>
      </c>
      <c r="E11" s="22" t="s">
        <v>59</v>
      </c>
      <c r="F11" s="78">
        <v>0</v>
      </c>
      <c r="G11" s="79">
        <v>0</v>
      </c>
      <c r="I11" s="42"/>
    </row>
    <row r="12" spans="1:56" s="1" customFormat="1" ht="25.5" x14ac:dyDescent="0.2">
      <c r="A12" s="28" t="s">
        <v>24</v>
      </c>
      <c r="B12" s="29" t="s">
        <v>19</v>
      </c>
      <c r="C12" s="56">
        <f>0.01*12*C39</f>
        <v>186.78</v>
      </c>
      <c r="D12" s="62" t="s">
        <v>61</v>
      </c>
      <c r="E12" s="22" t="s">
        <v>62</v>
      </c>
      <c r="F12" s="78">
        <v>0</v>
      </c>
      <c r="G12" s="79">
        <v>0</v>
      </c>
      <c r="I12" s="42"/>
    </row>
    <row r="13" spans="1:56" s="1" customFormat="1" ht="25.5" x14ac:dyDescent="0.2">
      <c r="A13" s="28" t="s">
        <v>25</v>
      </c>
      <c r="B13" s="29" t="s">
        <v>19</v>
      </c>
      <c r="C13" s="56">
        <f>0.02*12*C39</f>
        <v>373.56</v>
      </c>
      <c r="D13" s="62" t="s">
        <v>63</v>
      </c>
      <c r="E13" s="22" t="s">
        <v>64</v>
      </c>
      <c r="F13" s="78">
        <v>0</v>
      </c>
      <c r="G13" s="79">
        <v>0</v>
      </c>
      <c r="I13" s="42"/>
    </row>
    <row r="14" spans="1:56" s="1" customFormat="1" ht="23.85" customHeight="1" x14ac:dyDescent="0.2">
      <c r="A14" s="26" t="s">
        <v>10</v>
      </c>
      <c r="B14" s="30"/>
      <c r="C14" s="52">
        <f>SUM(C15:C22)</f>
        <v>91895.760000000009</v>
      </c>
      <c r="D14" s="64"/>
      <c r="E14" s="22"/>
      <c r="F14" s="78"/>
      <c r="G14" s="79"/>
      <c r="I14" s="42"/>
    </row>
    <row r="15" spans="1:56" s="1" customFormat="1" ht="36" x14ac:dyDescent="0.2">
      <c r="A15" s="28" t="s">
        <v>26</v>
      </c>
      <c r="B15" s="29" t="s">
        <v>27</v>
      </c>
      <c r="C15" s="56">
        <f>0.15*12*C39</f>
        <v>2801.7</v>
      </c>
      <c r="D15" s="65" t="s">
        <v>10</v>
      </c>
      <c r="E15" s="61"/>
      <c r="F15" s="71">
        <f>SUM(F16:F22)</f>
        <v>9.58</v>
      </c>
      <c r="G15" s="59">
        <f>SUM(G16:G22)</f>
        <v>58250.232000000004</v>
      </c>
      <c r="I15" s="42"/>
    </row>
    <row r="16" spans="1:56" s="1" customFormat="1" x14ac:dyDescent="0.2">
      <c r="A16" s="28" t="s">
        <v>28</v>
      </c>
      <c r="B16" s="29" t="s">
        <v>27</v>
      </c>
      <c r="C16" s="56">
        <f>0.69*12*C39</f>
        <v>12887.82</v>
      </c>
      <c r="D16" s="62" t="s">
        <v>65</v>
      </c>
      <c r="E16" s="22" t="s">
        <v>66</v>
      </c>
      <c r="F16" s="78">
        <v>0.39</v>
      </c>
      <c r="G16" s="79">
        <f>0.39*12*G39</f>
        <v>2371.3559999999998</v>
      </c>
      <c r="I16" s="42"/>
    </row>
    <row r="17" spans="1:9" s="1" customFormat="1" x14ac:dyDescent="0.2">
      <c r="A17" s="28" t="s">
        <v>29</v>
      </c>
      <c r="B17" s="29" t="s">
        <v>9</v>
      </c>
      <c r="C17" s="56">
        <f>0.46*12*C39</f>
        <v>8591.880000000001</v>
      </c>
      <c r="D17" s="62" t="s">
        <v>67</v>
      </c>
      <c r="E17" s="22" t="s">
        <v>9</v>
      </c>
      <c r="F17" s="78">
        <v>0.71</v>
      </c>
      <c r="G17" s="79">
        <f>0.71*12*G39</f>
        <v>4317.0839999999998</v>
      </c>
      <c r="I17" s="42"/>
    </row>
    <row r="18" spans="1:9" s="1" customFormat="1" ht="57.75" customHeight="1" x14ac:dyDescent="0.2">
      <c r="A18" s="28" t="s">
        <v>30</v>
      </c>
      <c r="B18" s="29" t="s">
        <v>31</v>
      </c>
      <c r="C18" s="56">
        <f>0.12*12*C39</f>
        <v>2241.36</v>
      </c>
      <c r="D18" s="62" t="s">
        <v>68</v>
      </c>
      <c r="E18" s="22" t="s">
        <v>69</v>
      </c>
      <c r="F18" s="78">
        <v>0.43</v>
      </c>
      <c r="G18" s="79">
        <f>0.43*12*G39</f>
        <v>2614.5720000000001</v>
      </c>
      <c r="I18" s="42"/>
    </row>
    <row r="19" spans="1:9" s="1" customFormat="1" ht="38.25" customHeight="1" x14ac:dyDescent="0.2">
      <c r="A19" s="28" t="s">
        <v>32</v>
      </c>
      <c r="B19" s="29" t="s">
        <v>27</v>
      </c>
      <c r="C19" s="56">
        <f>0.31*12*C39</f>
        <v>5790.1799999999994</v>
      </c>
      <c r="D19" s="66" t="s">
        <v>70</v>
      </c>
      <c r="E19" s="67" t="s">
        <v>8</v>
      </c>
      <c r="F19" s="78">
        <v>0.56999999999999995</v>
      </c>
      <c r="G19" s="79">
        <f>0.57*12*G39</f>
        <v>3465.828</v>
      </c>
      <c r="I19" s="42"/>
    </row>
    <row r="20" spans="1:9" s="1" customFormat="1" ht="36" x14ac:dyDescent="0.2">
      <c r="A20" s="28" t="s">
        <v>33</v>
      </c>
      <c r="B20" s="29" t="s">
        <v>31</v>
      </c>
      <c r="C20" s="56">
        <f>0.17*12*C39</f>
        <v>3175.26</v>
      </c>
      <c r="D20" s="63" t="s">
        <v>71</v>
      </c>
      <c r="E20" s="22" t="s">
        <v>19</v>
      </c>
      <c r="F20" s="78">
        <v>0.1</v>
      </c>
      <c r="G20" s="79">
        <f>0.1*12*G39</f>
        <v>608.04000000000008</v>
      </c>
      <c r="I20" s="42"/>
    </row>
    <row r="21" spans="1:9" s="18" customFormat="1" ht="12.75" customHeight="1" x14ac:dyDescent="0.2">
      <c r="A21" s="28" t="s">
        <v>34</v>
      </c>
      <c r="B21" s="31" t="s">
        <v>8</v>
      </c>
      <c r="C21" s="56">
        <f>0.54*12*C39</f>
        <v>10086.120000000001</v>
      </c>
      <c r="D21" s="62" t="s">
        <v>72</v>
      </c>
      <c r="E21" s="68" t="s">
        <v>73</v>
      </c>
      <c r="F21" s="78">
        <v>3.34</v>
      </c>
      <c r="G21" s="79">
        <f>3.34*12*G39</f>
        <v>20308.536</v>
      </c>
      <c r="I21" s="45"/>
    </row>
    <row r="22" spans="1:9" s="18" customFormat="1" ht="12.75" customHeight="1" x14ac:dyDescent="0.2">
      <c r="A22" s="28" t="s">
        <v>35</v>
      </c>
      <c r="B22" s="29" t="s">
        <v>9</v>
      </c>
      <c r="C22" s="56">
        <f>2.48*12*C39</f>
        <v>46321.439999999995</v>
      </c>
      <c r="D22" s="62" t="s">
        <v>74</v>
      </c>
      <c r="E22" s="22" t="s">
        <v>3</v>
      </c>
      <c r="F22" s="78">
        <v>4.04</v>
      </c>
      <c r="G22" s="79">
        <f>4.04*12*G39</f>
        <v>24564.816000000003</v>
      </c>
      <c r="I22" s="45"/>
    </row>
    <row r="23" spans="1:9" s="18" customFormat="1" ht="12.75" customHeight="1" x14ac:dyDescent="0.2">
      <c r="A23" s="26" t="s">
        <v>7</v>
      </c>
      <c r="B23" s="30"/>
      <c r="C23" s="52">
        <f>SUM(C24:C27)</f>
        <v>66120.12000000001</v>
      </c>
      <c r="D23" s="64"/>
      <c r="E23" s="22"/>
      <c r="F23" s="78"/>
      <c r="G23" s="79"/>
      <c r="I23" s="45"/>
    </row>
    <row r="24" spans="1:9" s="1" customFormat="1" ht="27" customHeight="1" x14ac:dyDescent="0.2">
      <c r="A24" s="28" t="s">
        <v>36</v>
      </c>
      <c r="B24" s="32" t="s">
        <v>37</v>
      </c>
      <c r="C24" s="53">
        <f>0.18*12*C39</f>
        <v>3362.0400000000004</v>
      </c>
      <c r="D24" s="65" t="s">
        <v>7</v>
      </c>
      <c r="E24" s="61"/>
      <c r="F24" s="80">
        <f>SUM(F25:F27)</f>
        <v>2.3200000000000003</v>
      </c>
      <c r="G24" s="81">
        <f>SUM(G25:G27)</f>
        <v>14106.528</v>
      </c>
      <c r="I24" s="42"/>
    </row>
    <row r="25" spans="1:9" s="1" customFormat="1" ht="36" customHeight="1" x14ac:dyDescent="0.2">
      <c r="A25" s="28" t="s">
        <v>38</v>
      </c>
      <c r="B25" s="29" t="s">
        <v>39</v>
      </c>
      <c r="C25" s="53">
        <f>0.56*12*C39</f>
        <v>10459.68</v>
      </c>
      <c r="D25" s="63" t="s">
        <v>75</v>
      </c>
      <c r="E25" s="22" t="s">
        <v>3</v>
      </c>
      <c r="F25" s="78">
        <v>1.1299999999999999</v>
      </c>
      <c r="G25" s="79">
        <f>1.13*12*G39</f>
        <v>6870.851999999999</v>
      </c>
      <c r="I25" s="42"/>
    </row>
    <row r="26" spans="1:9" s="1" customFormat="1" ht="71.25" customHeight="1" x14ac:dyDescent="0.2">
      <c r="A26" s="33" t="s">
        <v>40</v>
      </c>
      <c r="B26" s="31" t="s">
        <v>41</v>
      </c>
      <c r="C26" s="53">
        <f>0.03*12*C39</f>
        <v>560.34</v>
      </c>
      <c r="D26" s="63" t="s">
        <v>76</v>
      </c>
      <c r="E26" s="67" t="s">
        <v>77</v>
      </c>
      <c r="F26" s="78">
        <v>0.14000000000000001</v>
      </c>
      <c r="G26" s="79">
        <f>0.14*12*G39</f>
        <v>851.25600000000009</v>
      </c>
      <c r="I26" s="42"/>
    </row>
    <row r="27" spans="1:9" s="1" customFormat="1" ht="112.5" customHeight="1" x14ac:dyDescent="0.2">
      <c r="A27" s="28" t="s">
        <v>42</v>
      </c>
      <c r="B27" s="29" t="s">
        <v>6</v>
      </c>
      <c r="C27" s="53">
        <f>2.77*12*C39</f>
        <v>51738.060000000005</v>
      </c>
      <c r="D27" s="63" t="s">
        <v>78</v>
      </c>
      <c r="E27" s="22" t="s">
        <v>6</v>
      </c>
      <c r="F27" s="78">
        <v>1.05</v>
      </c>
      <c r="G27" s="79">
        <f>1.05*12*G39</f>
        <v>6384.420000000001</v>
      </c>
      <c r="I27" s="42"/>
    </row>
    <row r="28" spans="1:9" s="1" customFormat="1" ht="24.75" customHeight="1" x14ac:dyDescent="0.2">
      <c r="A28" s="26" t="s">
        <v>5</v>
      </c>
      <c r="B28" s="30"/>
      <c r="C28" s="51">
        <f>SUM(C29:C30)</f>
        <v>87973.38</v>
      </c>
      <c r="D28" s="60" t="s">
        <v>5</v>
      </c>
      <c r="E28" s="61"/>
      <c r="F28" s="80">
        <f>SUM(F29:F33)</f>
        <v>4.57</v>
      </c>
      <c r="G28" s="81">
        <f>SUM(G29:G33)</f>
        <v>27787.428</v>
      </c>
      <c r="I28" s="42"/>
    </row>
    <row r="29" spans="1:9" s="19" customFormat="1" ht="187.5" customHeight="1" x14ac:dyDescent="0.2">
      <c r="A29" s="28" t="s">
        <v>43</v>
      </c>
      <c r="B29" s="31" t="s">
        <v>44</v>
      </c>
      <c r="C29" s="53">
        <f>2.97*12*C39</f>
        <v>55473.66</v>
      </c>
      <c r="D29" s="63" t="s">
        <v>79</v>
      </c>
      <c r="E29" s="67" t="s">
        <v>80</v>
      </c>
      <c r="F29" s="78">
        <v>1.95</v>
      </c>
      <c r="G29" s="79">
        <f>1.95*12*G39</f>
        <v>11856.779999999999</v>
      </c>
      <c r="I29" s="46"/>
    </row>
    <row r="30" spans="1:9" s="1" customFormat="1" ht="63.75" customHeight="1" x14ac:dyDescent="0.2">
      <c r="A30" s="28" t="s">
        <v>45</v>
      </c>
      <c r="B30" s="31" t="s">
        <v>46</v>
      </c>
      <c r="C30" s="53">
        <f>1.74*12*C39</f>
        <v>32499.719999999998</v>
      </c>
      <c r="D30" s="62" t="s">
        <v>81</v>
      </c>
      <c r="E30" s="67" t="s">
        <v>82</v>
      </c>
      <c r="F30" s="78">
        <v>1.37</v>
      </c>
      <c r="G30" s="79">
        <f>1.37*12*G39</f>
        <v>8330.148000000001</v>
      </c>
      <c r="I30" s="42"/>
    </row>
    <row r="31" spans="1:9" s="1" customFormat="1" ht="57.75" customHeight="1" x14ac:dyDescent="0.2">
      <c r="A31" s="28" t="s">
        <v>47</v>
      </c>
      <c r="B31" s="31" t="s">
        <v>4</v>
      </c>
      <c r="C31" s="53">
        <f>1.25*12*C39</f>
        <v>23347.5</v>
      </c>
      <c r="D31" s="63" t="s">
        <v>83</v>
      </c>
      <c r="E31" s="68" t="s">
        <v>84</v>
      </c>
      <c r="F31" s="78">
        <v>0</v>
      </c>
      <c r="G31" s="79">
        <v>0</v>
      </c>
      <c r="I31" s="42"/>
    </row>
    <row r="32" spans="1:9" s="1" customFormat="1" ht="33" customHeight="1" x14ac:dyDescent="0.2">
      <c r="A32" s="28" t="s">
        <v>48</v>
      </c>
      <c r="B32" s="29" t="s">
        <v>3</v>
      </c>
      <c r="C32" s="53">
        <f>0.56*12*C39</f>
        <v>10459.68</v>
      </c>
      <c r="D32" s="62" t="s">
        <v>85</v>
      </c>
      <c r="E32" s="22" t="s">
        <v>3</v>
      </c>
      <c r="F32" s="78">
        <v>0.84</v>
      </c>
      <c r="G32" s="79">
        <f>0.84*12*G39</f>
        <v>5107.5360000000001</v>
      </c>
      <c r="I32" s="42"/>
    </row>
    <row r="33" spans="1:56" s="1" customFormat="1" x14ac:dyDescent="0.2">
      <c r="A33" s="33" t="s">
        <v>49</v>
      </c>
      <c r="B33" s="34" t="s">
        <v>50</v>
      </c>
      <c r="C33" s="57">
        <f>0.03*12*C39</f>
        <v>560.34</v>
      </c>
      <c r="D33" s="62" t="s">
        <v>86</v>
      </c>
      <c r="E33" s="22" t="s">
        <v>6</v>
      </c>
      <c r="F33" s="78">
        <v>0.41</v>
      </c>
      <c r="G33" s="79">
        <f>0.41*12*G39</f>
        <v>2492.9639999999999</v>
      </c>
      <c r="I33" s="42"/>
    </row>
    <row r="34" spans="1:56" s="19" customFormat="1" ht="94.5" customHeight="1" x14ac:dyDescent="0.2">
      <c r="A34" s="37" t="s">
        <v>53</v>
      </c>
      <c r="B34" s="23" t="s">
        <v>54</v>
      </c>
      <c r="C34" s="58">
        <v>25000</v>
      </c>
      <c r="D34" s="23" t="s">
        <v>94</v>
      </c>
      <c r="E34" s="22" t="s">
        <v>87</v>
      </c>
      <c r="F34" s="80"/>
      <c r="G34" s="81">
        <v>2500</v>
      </c>
      <c r="I34" s="46"/>
    </row>
    <row r="35" spans="1:56" s="1" customFormat="1" x14ac:dyDescent="0.2">
      <c r="A35" s="25" t="s">
        <v>20</v>
      </c>
      <c r="B35" s="22" t="s">
        <v>18</v>
      </c>
      <c r="C35" s="57">
        <v>0</v>
      </c>
      <c r="D35" s="25" t="s">
        <v>88</v>
      </c>
      <c r="E35" s="22" t="s">
        <v>18</v>
      </c>
      <c r="F35" s="80">
        <v>1.95</v>
      </c>
      <c r="G35" s="81">
        <f>1.95*12*G39</f>
        <v>11856.779999999999</v>
      </c>
      <c r="I35" s="42"/>
    </row>
    <row r="36" spans="1:56" s="1" customFormat="1" x14ac:dyDescent="0.2">
      <c r="A36" s="37" t="s">
        <v>51</v>
      </c>
      <c r="B36" s="34" t="s">
        <v>18</v>
      </c>
      <c r="C36" s="57">
        <f>2.45*12*C39</f>
        <v>45761.100000000006</v>
      </c>
      <c r="D36" s="25" t="s">
        <v>20</v>
      </c>
      <c r="E36" s="22" t="s">
        <v>18</v>
      </c>
      <c r="F36" s="80"/>
      <c r="G36" s="81">
        <v>0</v>
      </c>
      <c r="H36" s="89"/>
      <c r="I36" s="90"/>
      <c r="J36" s="89"/>
      <c r="K36" s="89"/>
      <c r="L36" s="89"/>
      <c r="M36" s="89"/>
      <c r="N36" s="89"/>
    </row>
    <row r="37" spans="1:56" s="24" customFormat="1" x14ac:dyDescent="0.2">
      <c r="A37" s="37" t="s">
        <v>55</v>
      </c>
      <c r="B37" s="40" t="s">
        <v>18</v>
      </c>
      <c r="C37" s="54">
        <f>3.24*12*C39</f>
        <v>60516.72</v>
      </c>
      <c r="D37" s="25" t="s">
        <v>89</v>
      </c>
      <c r="E37" s="22" t="s">
        <v>18</v>
      </c>
      <c r="F37" s="80">
        <v>2.15</v>
      </c>
      <c r="G37" s="81">
        <f>2.15*12*G39</f>
        <v>13072.859999999999</v>
      </c>
      <c r="H37" s="91"/>
      <c r="I37" s="92"/>
      <c r="J37" s="91"/>
      <c r="K37" s="91"/>
      <c r="L37" s="91"/>
      <c r="M37" s="91"/>
      <c r="N37" s="91"/>
    </row>
    <row r="38" spans="1:56" s="10" customFormat="1" x14ac:dyDescent="0.2">
      <c r="A38" s="36" t="s">
        <v>2</v>
      </c>
      <c r="B38" s="34"/>
      <c r="C38" s="55">
        <f>C37+C36++C34+C14++C9+C23+C28+C33+C32+C31</f>
        <v>458516.38</v>
      </c>
      <c r="D38" s="69" t="s">
        <v>2</v>
      </c>
      <c r="E38" s="70"/>
      <c r="F38" s="82"/>
      <c r="G38" s="83">
        <f>G37+G35+G34+G28+G24+G15</f>
        <v>127573.82800000001</v>
      </c>
      <c r="H38" s="93">
        <f>G38+C38</f>
        <v>586090.20799999998</v>
      </c>
      <c r="I38" s="93">
        <f>H38/12*5/100</f>
        <v>2442.0425333333333</v>
      </c>
      <c r="J38" s="94">
        <f>H38/12</f>
        <v>48840.850666666665</v>
      </c>
      <c r="K38" s="94"/>
      <c r="L38" s="94"/>
      <c r="M38" s="94"/>
      <c r="N38" s="94"/>
    </row>
    <row r="39" spans="1:56" s="2" customFormat="1" ht="25.5" customHeight="1" x14ac:dyDescent="0.2">
      <c r="A39" s="36" t="s">
        <v>1</v>
      </c>
      <c r="B39" s="38"/>
      <c r="C39" s="41">
        <v>1556.5</v>
      </c>
      <c r="D39" s="69" t="s">
        <v>1</v>
      </c>
      <c r="E39" s="70"/>
      <c r="F39" s="71"/>
      <c r="G39" s="74">
        <v>506.7</v>
      </c>
      <c r="H39" s="95">
        <f>G39+C39</f>
        <v>2063.1999999999998</v>
      </c>
      <c r="I39" s="95">
        <f>H39*70*80/100</f>
        <v>115539.2</v>
      </c>
      <c r="J39" s="96"/>
      <c r="K39" s="96"/>
      <c r="L39" s="96"/>
      <c r="M39" s="96"/>
      <c r="N39" s="96"/>
    </row>
    <row r="40" spans="1:56" s="2" customFormat="1" ht="25.5" customHeight="1" x14ac:dyDescent="0.2">
      <c r="A40" s="26" t="s">
        <v>52</v>
      </c>
      <c r="B40" s="35"/>
      <c r="C40" s="9">
        <f t="shared" ref="C40" si="0">C38/12/C39</f>
        <v>24.548473069921833</v>
      </c>
      <c r="D40" s="72" t="s">
        <v>90</v>
      </c>
      <c r="E40" s="71"/>
      <c r="F40" s="71">
        <f>F15+F24+F28+F35+F37</f>
        <v>20.569999999999997</v>
      </c>
      <c r="G40" s="9">
        <f t="shared" ref="G40" si="1">G38/12/G39</f>
        <v>20.98115716071311</v>
      </c>
      <c r="H40" s="95"/>
      <c r="I40" s="95"/>
      <c r="J40" s="96"/>
      <c r="K40" s="96"/>
      <c r="L40" s="96"/>
      <c r="M40" s="96"/>
      <c r="N40" s="96"/>
    </row>
    <row r="41" spans="1:56" s="2" customFormat="1" ht="15.75" customHeight="1" x14ac:dyDescent="0.2">
      <c r="A41" s="12"/>
      <c r="B41" s="14"/>
      <c r="C41" s="14"/>
      <c r="D41" s="48"/>
      <c r="E41" s="48"/>
      <c r="G41" s="14"/>
      <c r="H41" s="97"/>
      <c r="I41" s="97"/>
      <c r="J41" s="98"/>
      <c r="K41" s="98"/>
      <c r="L41" s="98"/>
      <c r="M41" s="98"/>
      <c r="N41" s="98"/>
      <c r="O41" s="7"/>
      <c r="P41" s="14"/>
      <c r="Q41" s="14"/>
      <c r="R41" s="14"/>
      <c r="S41" s="7"/>
      <c r="T41" s="7"/>
      <c r="U41" s="7"/>
      <c r="V41" s="7"/>
      <c r="W41" s="7"/>
      <c r="X41" s="7"/>
      <c r="Y41" s="7"/>
      <c r="Z41" s="7"/>
      <c r="AA41" s="1"/>
      <c r="AB41" s="1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9"/>
      <c r="BA41" s="39"/>
      <c r="BB41" s="39"/>
      <c r="BD41" s="43"/>
    </row>
    <row r="42" spans="1:56" s="2" customFormat="1" ht="25.5" customHeight="1" x14ac:dyDescent="0.2">
      <c r="A42" s="12"/>
      <c r="B42" s="14"/>
      <c r="C42" s="14"/>
      <c r="D42" s="43"/>
      <c r="E42" s="43"/>
      <c r="G42" s="14"/>
      <c r="H42" s="97"/>
      <c r="I42" s="97"/>
      <c r="J42" s="98"/>
      <c r="K42" s="98"/>
      <c r="L42" s="98"/>
      <c r="M42" s="98"/>
      <c r="N42" s="98"/>
      <c r="O42" s="7"/>
      <c r="P42" s="14"/>
      <c r="Q42" s="14"/>
      <c r="R42" s="14"/>
      <c r="S42" s="7"/>
      <c r="T42" s="7"/>
      <c r="U42" s="7"/>
      <c r="V42" s="7"/>
      <c r="W42" s="7"/>
      <c r="X42" s="7"/>
      <c r="Y42" s="7"/>
      <c r="Z42" s="7"/>
      <c r="AA42" s="1"/>
      <c r="AB42" s="1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D42" s="43"/>
    </row>
    <row r="43" spans="1:56" s="1" customFormat="1" ht="12.75" customHeight="1" x14ac:dyDescent="0.2">
      <c r="A43" s="6"/>
      <c r="B43" s="13"/>
      <c r="C43" s="13"/>
      <c r="D43" s="7"/>
      <c r="E43" s="7"/>
      <c r="F43" s="77"/>
      <c r="G43" s="21"/>
      <c r="H43" s="99"/>
      <c r="I43" s="100"/>
      <c r="J43" s="98"/>
      <c r="K43" s="98"/>
      <c r="L43" s="98"/>
      <c r="M43" s="98"/>
      <c r="N43" s="98"/>
      <c r="O43" s="7"/>
      <c r="P43" s="13"/>
      <c r="Q43" s="13"/>
      <c r="R43" s="13"/>
      <c r="S43" s="7"/>
      <c r="T43" s="7"/>
      <c r="U43" s="7"/>
      <c r="V43" s="7"/>
      <c r="W43" s="7"/>
      <c r="X43" s="7"/>
      <c r="Y43" s="7"/>
      <c r="Z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D43" s="42"/>
    </row>
    <row r="44" spans="1:56" s="1" customFormat="1" ht="12.75" hidden="1" customHeight="1" x14ac:dyDescent="0.2">
      <c r="A44" s="6"/>
      <c r="B44" s="13"/>
      <c r="C44" s="13"/>
      <c r="D44" s="7"/>
      <c r="E44" s="7"/>
      <c r="F44" s="77"/>
      <c r="G44" s="21"/>
      <c r="H44" s="13"/>
      <c r="I44" s="85"/>
      <c r="J44" s="7"/>
      <c r="K44" s="7"/>
      <c r="L44" s="7"/>
      <c r="M44" s="7"/>
      <c r="N44" s="7"/>
      <c r="O44" s="7"/>
      <c r="P44" s="13"/>
      <c r="Q44" s="13"/>
      <c r="R44" s="13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D44" s="42"/>
    </row>
    <row r="45" spans="1:56" s="1" customFormat="1" x14ac:dyDescent="0.2">
      <c r="A45" s="6"/>
      <c r="B45" s="13"/>
      <c r="C45" s="13"/>
      <c r="D45" s="7"/>
      <c r="E45" s="7"/>
      <c r="F45" s="77"/>
      <c r="G45" s="21"/>
      <c r="H45" s="13"/>
      <c r="I45" s="85"/>
      <c r="J45" s="7"/>
      <c r="K45" s="7"/>
      <c r="L45" s="7"/>
      <c r="M45" s="7"/>
      <c r="N45" s="7"/>
      <c r="O45" s="7"/>
      <c r="P45" s="13"/>
      <c r="Q45" s="13"/>
      <c r="R45" s="13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D45" s="42"/>
    </row>
    <row r="46" spans="1:56" s="1" customFormat="1" x14ac:dyDescent="0.2">
      <c r="A46" s="6"/>
      <c r="B46" s="13"/>
      <c r="C46" s="13"/>
      <c r="D46" s="7"/>
      <c r="E46" s="7"/>
      <c r="F46" s="77"/>
      <c r="G46" s="21"/>
      <c r="H46" s="13"/>
      <c r="I46" s="85"/>
      <c r="J46" s="7"/>
      <c r="K46" s="7"/>
      <c r="L46" s="7"/>
      <c r="M46" s="7"/>
      <c r="N46" s="7"/>
      <c r="O46" s="7"/>
      <c r="P46" s="13"/>
      <c r="Q46" s="13"/>
      <c r="R46" s="13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D46" s="42"/>
    </row>
    <row r="47" spans="1:56" s="1" customFormat="1" x14ac:dyDescent="0.2">
      <c r="A47" s="6" t="s">
        <v>0</v>
      </c>
      <c r="B47" s="13"/>
      <c r="C47" s="13"/>
      <c r="D47" s="7"/>
      <c r="E47" s="7"/>
      <c r="F47" s="77"/>
      <c r="G47" s="21"/>
      <c r="H47" s="13"/>
      <c r="I47" s="85"/>
      <c r="J47" s="7"/>
      <c r="K47" s="7"/>
      <c r="L47" s="7"/>
      <c r="M47" s="7"/>
      <c r="N47" s="7"/>
      <c r="O47" s="7"/>
      <c r="P47" s="13"/>
      <c r="Q47" s="13"/>
      <c r="R47" s="13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D47" s="42"/>
    </row>
    <row r="48" spans="1:56" s="1" customFormat="1" x14ac:dyDescent="0.2">
      <c r="A48" s="6"/>
      <c r="B48" s="13"/>
      <c r="C48" s="13"/>
      <c r="D48" s="7"/>
      <c r="E48" s="7"/>
      <c r="F48" s="77"/>
      <c r="G48" s="21"/>
      <c r="H48" s="13"/>
      <c r="I48" s="85"/>
      <c r="J48" s="7"/>
      <c r="K48" s="7"/>
      <c r="L48" s="7"/>
      <c r="M48" s="7"/>
      <c r="N48" s="7"/>
      <c r="O48" s="7"/>
      <c r="P48" s="13"/>
      <c r="Q48" s="13"/>
      <c r="R48" s="13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D48" s="42"/>
    </row>
  </sheetData>
  <mergeCells count="5">
    <mergeCell ref="A7:A8"/>
    <mergeCell ref="B7:B8"/>
    <mergeCell ref="D7:D8"/>
    <mergeCell ref="E7:E8"/>
    <mergeCell ref="F7:F8"/>
  </mergeCells>
  <pageMargins left="0.23622047244094491" right="0.11811023622047245" top="0.23622047244094491" bottom="0.19685039370078741" header="0.31496062992125984" footer="0.31496062992125984"/>
  <pageSetup paperSize="9" scale="47" firstPageNumber="0" orientation="landscape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2017-03-20T13:16:43Z</dcterms:modified>
</cp:coreProperties>
</file>